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elly Position Sizer" sheetId="1" state="visible" r:id="rId3"/>
    <sheet name="Iron Condor Risk Calc" sheetId="2" state="visible" r:id="rId4"/>
    <sheet name="Portfolio Risk" sheetId="3" state="visible" r:id="rId5"/>
    <sheet name="Scenario Analysi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<sst xmlns="http://schemas.openxmlformats.org/spreadsheetml/2006/main" count="104" uniqueCount="100">
  <si>
    <t xml:space="preserve">Kelly Criterion Position Sizer</t>
  </si>
  <si>
    <t xml:space="preserve">0DTE Iron Condor / Credit Spread Sizing Calculator</t>
  </si>
  <si>
    <t xml:space="preserve">ACCOUNT &amp; STRATEGY INPUTS</t>
  </si>
  <si>
    <t xml:space="preserve">Account Equity ($)</t>
  </si>
  <si>
    <t xml:space="preserve">Total account value</t>
  </si>
  <si>
    <t xml:space="preserve">Win Rate (%)</t>
  </si>
  <si>
    <t xml:space="preserve">Historical win rate from backtest</t>
  </si>
  <si>
    <t xml:space="preserve">Avg Win ($)</t>
  </si>
  <si>
    <t xml:space="preserve">Average premium collected per contract</t>
  </si>
  <si>
    <t xml:space="preserve">Avg Loss ($)</t>
  </si>
  <si>
    <t xml:space="preserve">Average loss per contract when stopped</t>
  </si>
  <si>
    <t xml:space="preserve">Max Portfolio Risk (%)</t>
  </si>
  <si>
    <t xml:space="preserve">Max % of equity risked per day</t>
  </si>
  <si>
    <t xml:space="preserve">Kelly Fraction</t>
  </si>
  <si>
    <t xml:space="preserve">Fraction of full Kelly to use (0.25 = quarter Kelly)</t>
  </si>
  <si>
    <t xml:space="preserve">KELLY CRITERION CALCULATIONS</t>
  </si>
  <si>
    <t xml:space="preserve">Win/Loss Ratio (b)</t>
  </si>
  <si>
    <t xml:space="preserve">Loss Rate (q = 1 - p)</t>
  </si>
  <si>
    <t xml:space="preserve">Full Kelly (f* = p - q/b)</t>
  </si>
  <si>
    <t xml:space="preserve">Fractional Kelly</t>
  </si>
  <si>
    <t xml:space="preserve">POSITION SIZE OUTPUT</t>
  </si>
  <si>
    <t xml:space="preserve">Kelly-Sized Risk ($)</t>
  </si>
  <si>
    <t xml:space="preserve">Max Risk per Day ($)</t>
  </si>
  <si>
    <t xml:space="preserve">Effective Daily Risk ($)</t>
  </si>
  <si>
    <t xml:space="preserve">Max Contracts (by avg loss)</t>
  </si>
  <si>
    <t xml:space="preserve">▸ RECOMMENDED POSITION SIZE</t>
  </si>
  <si>
    <t xml:space="preserve">contracts</t>
  </si>
  <si>
    <t xml:space="preserve">EXPECTED VALUE ANALYSIS</t>
  </si>
  <si>
    <t xml:space="preserve">Expected Value per Contract ($)</t>
  </si>
  <si>
    <t xml:space="preserve">Expected Daily P&amp;L ($)</t>
  </si>
  <si>
    <t xml:space="preserve">Expected Monthly P&amp;L (21 days)</t>
  </si>
  <si>
    <t xml:space="preserve">Expected Annual P&amp;L (252 days)</t>
  </si>
  <si>
    <t xml:space="preserve">Expected Annual Return (%)</t>
  </si>
  <si>
    <t xml:space="preserve">Notes:</t>
  </si>
  <si>
    <t xml:space="preserve">• Blue cells are inputs — adjust to match your strategy parameters</t>
  </si>
  <si>
    <t xml:space="preserve">• Quarter Kelly (0.25) is recommended for most practitioners to manage variance</t>
  </si>
  <si>
    <t xml:space="preserve">• Expected values assume IID trades — real markets have correlation and regime effects</t>
  </si>
  <si>
    <t xml:space="preserve">• Always verify position sizes against your broker's margin requirements</t>
  </si>
  <si>
    <t xml:space="preserve">Iron Condor Risk Calculator</t>
  </si>
  <si>
    <t xml:space="preserve">0DTE SPX Position Risk &amp; Reward Analysis</t>
  </si>
  <si>
    <t xml:space="preserve">TRADE PARAMETERS</t>
  </si>
  <si>
    <t xml:space="preserve">SPX Current Price</t>
  </si>
  <si>
    <t xml:space="preserve">Number of Contracts</t>
  </si>
  <si>
    <t xml:space="preserve">PUT SPREAD</t>
  </si>
  <si>
    <t xml:space="preserve">Short Put Strike</t>
  </si>
  <si>
    <t xml:space="preserve">Long Put Strike</t>
  </si>
  <si>
    <t xml:space="preserve">Put Spread Credit (per share)</t>
  </si>
  <si>
    <t xml:space="preserve">CALL SPREAD</t>
  </si>
  <si>
    <t xml:space="preserve">Short Call Strike</t>
  </si>
  <si>
    <t xml:space="preserve">Long Call Strike</t>
  </si>
  <si>
    <t xml:space="preserve">Call Spread Credit (per share)</t>
  </si>
  <si>
    <t xml:space="preserve">RISK / REWARD ANALYSIS</t>
  </si>
  <si>
    <t xml:space="preserve">Put Spread Width ($)</t>
  </si>
  <si>
    <t xml:space="preserve">Call Spread Width ($)</t>
  </si>
  <si>
    <t xml:space="preserve">Total Credit Received (per contract)</t>
  </si>
  <si>
    <t xml:space="preserve">Max Risk per Contract (put side)</t>
  </si>
  <si>
    <t xml:space="preserve">Max Risk per Contract (call side)</t>
  </si>
  <si>
    <t xml:space="preserve">Max Risk per Contract (worst side)</t>
  </si>
  <si>
    <t xml:space="preserve">Total Credit (all contracts)</t>
  </si>
  <si>
    <t xml:space="preserve">Total Max Risk (all contracts)</t>
  </si>
  <si>
    <t xml:space="preserve">Risk/Reward Ratio</t>
  </si>
  <si>
    <t xml:space="preserve">Breakeven Put</t>
  </si>
  <si>
    <t xml:space="preserve">Breakeven Call</t>
  </si>
  <si>
    <t xml:space="preserve">Put Buffer (pts from current)</t>
  </si>
  <si>
    <t xml:space="preserve">Call Buffer (pts from current)</t>
  </si>
  <si>
    <t xml:space="preserve">Put Buffer (%)</t>
  </si>
  <si>
    <t xml:space="preserve">Call Buffer (%)</t>
  </si>
  <si>
    <t xml:space="preserve">▸ CREDIT COLLECTED</t>
  </si>
  <si>
    <t xml:space="preserve">▸ MAX RISK</t>
  </si>
  <si>
    <t xml:space="preserve">• Blue cells are inputs — enter your actual trade parameters</t>
  </si>
  <si>
    <t xml:space="preserve">• Multiplier is 100 (standard SPX options)</t>
  </si>
  <si>
    <t xml:space="preserve">• Buffer shows how far SPX must move to breach your short strikes</t>
  </si>
  <si>
    <t xml:space="preserve">Multi-Strategy Portfolio Risk Dashboard</t>
  </si>
  <si>
    <t xml:space="preserve">Allocation, Correlation Awareness &amp; Aggregate Exposure</t>
  </si>
  <si>
    <t xml:space="preserve">Total Portfolio Equity ($)</t>
  </si>
  <si>
    <t xml:space="preserve">Strategy</t>
  </si>
  <si>
    <t xml:space="preserve">Allocation %</t>
  </si>
  <si>
    <t xml:space="preserve">Daily Risk %</t>
  </si>
  <si>
    <t xml:space="preserve">Win Rate</t>
  </si>
  <si>
    <t xml:space="preserve">Avg Win</t>
  </si>
  <si>
    <t xml:space="preserve">Avg Loss</t>
  </si>
  <si>
    <t xml:space="preserve">Kelly Contracts</t>
  </si>
  <si>
    <t xml:space="preserve">Iron Condor Core</t>
  </si>
  <si>
    <t xml:space="preserve">Credit Spread Aggr.</t>
  </si>
  <si>
    <t xml:space="preserve">Tail Hedge (puts)</t>
  </si>
  <si>
    <t xml:space="preserve">Strategy 4</t>
  </si>
  <si>
    <t xml:space="preserve">Strategy 5</t>
  </si>
  <si>
    <t xml:space="preserve">TOTAL</t>
  </si>
  <si>
    <t xml:space="preserve">AGGREGATE RISK METRICS</t>
  </si>
  <si>
    <t xml:space="preserve">Weighted Avg Daily Risk (%)</t>
  </si>
  <si>
    <t xml:space="preserve">Total Daily Risk ($)</t>
  </si>
  <si>
    <t xml:space="preserve">Allocation Check</t>
  </si>
  <si>
    <t xml:space="preserve">• Allocations should sum to 100%. Adjust to match your strategy mix.</t>
  </si>
  <si>
    <t xml:space="preserve">• Kelly contracts use quarter-Kelly (0.25) fraction for safety.</t>
  </si>
  <si>
    <t xml:space="preserve">• This is an uncorrelated model — in practice, strategies may have shared SPX exposure.</t>
  </si>
  <si>
    <t xml:space="preserve">Win Rate Sensitivity Analysis</t>
  </si>
  <si>
    <t xml:space="preserve">How position size changes with win rate and avg loss</t>
  </si>
  <si>
    <t xml:space="preserve">Account Equity</t>
  </si>
  <si>
    <t xml:space="preserve">Win Rate ↓  /  Avg Loss →</t>
  </si>
  <si>
    <t xml:space="preserve">Each cell = recommended contracts at quarter-Kelly for that win rate / avg loss combination.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</si>
</sst>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"/>
    <numFmt numFmtId="166" formatCode="0.0%"/>
    <numFmt numFmtId="167" formatCode="\$#,##0.00"/>
    <numFmt numFmtId="168" formatCode="0.00"/>
    <numFmt numFmtId="169" formatCode="0.00\x"/>
    <numFmt numFmtId="170" formatCode="0"/>
    <numFmt numFmtId="171" formatCode="#,##0.00"/>
    <numFmt numFmtId="172" formatCode="#,##0"/>
    <numFmt numFmtId="173" formatCode="0.0"/>
    <numFmt numFmtId="174" formatCode="0.0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D4AF37"/>
      <name val="Arial"/>
      <family val="0"/>
      <charset val="1"/>
    </font>
    <font>
      <sz val="11"/>
      <color rgb="FF666360"/>
      <name val="Arial"/>
      <family val="0"/>
      <charset val="1"/>
    </font>
    <font>
      <b val="true"/>
      <sz val="12"/>
      <color rgb="FF2C2A25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66636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D4AF37"/>
      <name val="Arial"/>
      <family val="0"/>
      <charset val="1"/>
    </font>
    <font>
      <b val="true"/>
      <sz val="9"/>
      <color rgb="FF666360"/>
      <name val="Arial"/>
      <family val="0"/>
      <charset val="1"/>
    </font>
    <font>
      <b val="true"/>
      <sz val="10"/>
      <color rgb="FF666360"/>
      <name val="Arial"/>
      <family val="0"/>
      <charset val="1"/>
    </font>
    <font>
      <b val="true"/>
      <sz val="14"/>
      <color rgb="FFD4AF37"/>
      <name val="Arial"/>
      <family val="0"/>
      <charset val="1"/>
    </font>
    <font>
      <b val="true"/>
      <sz val="11"/>
      <color rgb="FFCC3333"/>
      <name val="Arial"/>
      <family val="0"/>
      <charset val="1"/>
    </font>
    <font>
      <b val="true"/>
      <sz val="14"/>
      <color rgb="FFCC3333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8E7"/>
        <bgColor rgb="FFFFF0F0"/>
      </patternFill>
    </fill>
    <fill>
      <patternFill patternType="solid">
        <fgColor rgb="FFF5F3EE"/>
        <bgColor rgb="FFFFF0F0"/>
      </patternFill>
    </fill>
    <fill>
      <patternFill patternType="solid">
        <fgColor rgb="FFFFF3D0"/>
        <bgColor rgb="FFFFF8E7"/>
      </patternFill>
    </fill>
    <fill>
      <patternFill patternType="solid">
        <fgColor rgb="FFFFF0F0"/>
        <bgColor rgb="FFF5F3EE"/>
      </patternFill>
    </fill>
    <fill>
      <patternFill patternType="solid">
        <fgColor rgb="FF2C2A25"/>
        <bgColor rgb="FF33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D4AF37"/>
      </bottom>
      <diagonal/>
    </border>
    <border diagonalUp="false" diagonalDown="false">
      <left style="thin">
        <color rgb="FFD4D0C8"/>
      </left>
      <right style="thin">
        <color rgb="FFD4D0C8"/>
      </right>
      <top style="thin">
        <color rgb="FFD4D0C8"/>
      </top>
      <bottom style="thin">
        <color rgb="FFD4D0C8"/>
      </bottom>
      <diagonal/>
    </border>
    <border diagonalUp="false" diagonalDown="false">
      <left style="thin">
        <color rgb="FFD4AF37"/>
      </left>
      <right style="thin">
        <color rgb="FFD4AF37"/>
      </right>
      <top style="thin">
        <color rgb="FFD4AF37"/>
      </top>
      <bottom style="thin">
        <color rgb="FFD4AF3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4D0C8"/>
      <rgbColor rgb="FF808080"/>
      <rgbColor rgb="FF9999FF"/>
      <rgbColor rgb="FFCC3333"/>
      <rgbColor rgb="FFFFF3D0"/>
      <rgbColor rgb="FFF5F3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0F0"/>
      <rgbColor rgb="FFCCFFCC"/>
      <rgbColor rgb="FFFFF8E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F37"/>
      <rgbColor rgb="FFFF6600"/>
      <rgbColor rgb="FF66636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C2A2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AF37"/>
    <pageSetUpPr fitToPage="false"/>
  </sheetPr>
  <dimension ref="B2:F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5" min="3" style="0" width="18"/>
    <col collapsed="false" customWidth="true" hidden="false" outlineLevel="0" max="6" min="6" style="0" width="22"/>
    <col collapsed="false" customWidth="true" hidden="false" outlineLevel="0" max="7" min="7" style="0" width="3"/>
  </cols>
  <sheetData>
    <row r="2" customFormat="false" ht="19.7" hidden="false" customHeight="false" outlineLevel="0" collapsed="false">
      <c r="B2" s="1" t="s">
        <v>0</v>
      </c>
      <c r="C2" s="1"/>
      <c r="D2" s="1"/>
      <c r="E2" s="1"/>
      <c r="F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</row>
    <row r="5" customFormat="false" ht="15" hidden="false" customHeight="false" outlineLevel="0" collapsed="false">
      <c r="B5" s="3" t="s">
        <v>2</v>
      </c>
      <c r="C5" s="4"/>
      <c r="D5" s="4"/>
      <c r="E5" s="4"/>
      <c r="F5" s="4"/>
    </row>
    <row r="6" customFormat="false" ht="15" hidden="false" customHeight="false" outlineLevel="0" collapsed="false">
      <c r="B6" s="5" t="s">
        <v>3</v>
      </c>
      <c r="C6" s="6" t="n">
        <v>100000</v>
      </c>
      <c r="D6" s="7" t="s">
        <v>4</v>
      </c>
    </row>
    <row r="7" customFormat="false" ht="15" hidden="false" customHeight="false" outlineLevel="0" collapsed="false">
      <c r="B7" s="5" t="s">
        <v>5</v>
      </c>
      <c r="C7" s="8" t="n">
        <v>0.82</v>
      </c>
      <c r="D7" s="7" t="s">
        <v>6</v>
      </c>
    </row>
    <row r="8" customFormat="false" ht="15" hidden="false" customHeight="false" outlineLevel="0" collapsed="false">
      <c r="B8" s="5" t="s">
        <v>7</v>
      </c>
      <c r="C8" s="9" t="n">
        <v>85</v>
      </c>
      <c r="D8" s="7" t="s">
        <v>8</v>
      </c>
    </row>
    <row r="9" customFormat="false" ht="15" hidden="false" customHeight="false" outlineLevel="0" collapsed="false">
      <c r="B9" s="5" t="s">
        <v>9</v>
      </c>
      <c r="C9" s="9" t="n">
        <v>350</v>
      </c>
      <c r="D9" s="7" t="s">
        <v>10</v>
      </c>
    </row>
    <row r="10" customFormat="false" ht="15" hidden="false" customHeight="false" outlineLevel="0" collapsed="false">
      <c r="B10" s="5" t="s">
        <v>11</v>
      </c>
      <c r="C10" s="8" t="n">
        <v>0.05</v>
      </c>
      <c r="D10" s="7" t="s">
        <v>12</v>
      </c>
    </row>
    <row r="11" customFormat="false" ht="15" hidden="false" customHeight="false" outlineLevel="0" collapsed="false">
      <c r="B11" s="5" t="s">
        <v>13</v>
      </c>
      <c r="C11" s="10" t="n">
        <v>0.25</v>
      </c>
      <c r="D11" s="7" t="s">
        <v>14</v>
      </c>
    </row>
    <row r="14" customFormat="false" ht="15" hidden="false" customHeight="false" outlineLevel="0" collapsed="false">
      <c r="B14" s="3" t="s">
        <v>15</v>
      </c>
      <c r="C14" s="4"/>
      <c r="D14" s="4"/>
      <c r="E14" s="4"/>
      <c r="F14" s="4"/>
    </row>
    <row r="15" customFormat="false" ht="15" hidden="false" customHeight="false" outlineLevel="0" collapsed="false">
      <c r="B15" s="11" t="s">
        <v>16</v>
      </c>
      <c r="C15" s="12" t="n">
        <f aca="false">C8/C9</f>
        <v>0.242857142857143</v>
      </c>
    </row>
    <row r="16" customFormat="false" ht="15" hidden="false" customHeight="false" outlineLevel="0" collapsed="false">
      <c r="B16" s="11" t="s">
        <v>17</v>
      </c>
      <c r="C16" s="13" t="n">
        <f aca="false">1-C7</f>
        <v>0.18</v>
      </c>
    </row>
    <row r="17" customFormat="false" ht="15" hidden="false" customHeight="false" outlineLevel="0" collapsed="false">
      <c r="B17" s="11" t="s">
        <v>18</v>
      </c>
      <c r="C17" s="14" t="n">
        <f aca="false">C7-(C16/C15)</f>
        <v>0.0788235294117644</v>
      </c>
    </row>
    <row r="18" customFormat="false" ht="15" hidden="false" customHeight="false" outlineLevel="0" collapsed="false">
      <c r="B18" s="11" t="s">
        <v>19</v>
      </c>
      <c r="C18" s="14" t="n">
        <f aca="false">C17*C11</f>
        <v>0.0197058823529411</v>
      </c>
    </row>
    <row r="20" customFormat="false" ht="15" hidden="false" customHeight="false" outlineLevel="0" collapsed="false">
      <c r="B20" s="3" t="s">
        <v>20</v>
      </c>
      <c r="C20" s="4"/>
      <c r="D20" s="4"/>
      <c r="E20" s="4"/>
      <c r="F20" s="4"/>
    </row>
    <row r="21" customFormat="false" ht="15" hidden="false" customHeight="false" outlineLevel="0" collapsed="false">
      <c r="B21" s="11" t="s">
        <v>21</v>
      </c>
      <c r="C21" s="15" t="n">
        <f aca="false">C6*C18</f>
        <v>1970.58823529411</v>
      </c>
    </row>
    <row r="22" customFormat="false" ht="15" hidden="false" customHeight="false" outlineLevel="0" collapsed="false">
      <c r="B22" s="11" t="s">
        <v>22</v>
      </c>
      <c r="C22" s="15" t="n">
        <f aca="false">C6*C10</f>
        <v>5000</v>
      </c>
    </row>
    <row r="23" customFormat="false" ht="15" hidden="false" customHeight="false" outlineLevel="0" collapsed="false">
      <c r="B23" s="11" t="s">
        <v>23</v>
      </c>
      <c r="C23" s="16" t="n">
        <f aca="false">MIN(C21,C22)</f>
        <v>1970.58823529411</v>
      </c>
    </row>
    <row r="24" customFormat="false" ht="15" hidden="false" customHeight="false" outlineLevel="0" collapsed="false">
      <c r="B24" s="11" t="s">
        <v>24</v>
      </c>
      <c r="C24" s="17" t="n">
        <f aca="false">FLOOR(C23/C9,1)</f>
        <v>5</v>
      </c>
    </row>
    <row r="26" customFormat="false" ht="19.7" hidden="false" customHeight="false" outlineLevel="0" collapsed="false">
      <c r="B26" s="18" t="s">
        <v>25</v>
      </c>
      <c r="C26" s="18"/>
      <c r="D26" s="19" t="n">
        <f aca="false">C24</f>
        <v>5</v>
      </c>
      <c r="E26" s="20" t="s">
        <v>26</v>
      </c>
    </row>
    <row r="28" customFormat="false" ht="15" hidden="false" customHeight="false" outlineLevel="0" collapsed="false">
      <c r="B28" s="3" t="s">
        <v>27</v>
      </c>
      <c r="C28" s="4"/>
      <c r="D28" s="4"/>
      <c r="E28" s="4"/>
      <c r="F28" s="4"/>
    </row>
    <row r="29" customFormat="false" ht="15" hidden="false" customHeight="false" outlineLevel="0" collapsed="false">
      <c r="B29" s="11" t="s">
        <v>28</v>
      </c>
      <c r="C29" s="21" t="n">
        <f aca="false">(C7*C8)-((1-C7)*C9)</f>
        <v>6.69999999999999</v>
      </c>
    </row>
    <row r="30" customFormat="false" ht="15" hidden="false" customHeight="false" outlineLevel="0" collapsed="false">
      <c r="B30" s="11" t="s">
        <v>29</v>
      </c>
      <c r="C30" s="22" t="n">
        <f aca="false">C29*C24</f>
        <v>33.4999999999999</v>
      </c>
    </row>
    <row r="31" customFormat="false" ht="15" hidden="false" customHeight="false" outlineLevel="0" collapsed="false">
      <c r="B31" s="11" t="s">
        <v>30</v>
      </c>
      <c r="C31" s="15" t="n">
        <f aca="false">C30*21</f>
        <v>703.499999999999</v>
      </c>
    </row>
    <row r="32" customFormat="false" ht="15" hidden="false" customHeight="false" outlineLevel="0" collapsed="false">
      <c r="B32" s="11" t="s">
        <v>31</v>
      </c>
      <c r="C32" s="15" t="n">
        <f aca="false">C30*252</f>
        <v>8441.99999999999</v>
      </c>
    </row>
    <row r="33" customFormat="false" ht="15" hidden="false" customHeight="false" outlineLevel="0" collapsed="false">
      <c r="B33" s="11" t="s">
        <v>32</v>
      </c>
      <c r="C33" s="14" t="n">
        <f aca="false">C32/C6</f>
        <v>0.0844199999999999</v>
      </c>
    </row>
    <row r="35" customFormat="false" ht="15" hidden="false" customHeight="false" outlineLevel="0" collapsed="false">
      <c r="B35" s="23" t="s">
        <v>33</v>
      </c>
    </row>
    <row r="36" customFormat="false" ht="15" hidden="false" customHeight="false" outlineLevel="0" collapsed="false">
      <c r="B36" s="7" t="s">
        <v>34</v>
      </c>
    </row>
    <row r="37" customFormat="false" ht="15" hidden="false" customHeight="false" outlineLevel="0" collapsed="false">
      <c r="B37" s="7" t="s">
        <v>35</v>
      </c>
    </row>
    <row r="38" customFormat="false" ht="15" hidden="false" customHeight="false" outlineLevel="0" collapsed="false">
      <c r="B38" s="7" t="s">
        <v>36</v>
      </c>
    </row>
    <row r="39" customFormat="false" ht="15" hidden="false" customHeight="false" outlineLevel="0" collapsed="false">
      <c r="B39" s="7" t="s">
        <v>37</v>
      </c>
    </row>
  </sheetData>
  <mergeCells count="3">
    <mergeCell ref="B2:F2"/>
    <mergeCell ref="B3:F3"/>
    <mergeCell ref="B26:C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AF37"/>
    <pageSetUpPr fitToPage="false"/>
  </sheetPr>
  <dimension ref="B2:F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4" min="3" style="0" width="16"/>
    <col collapsed="false" customWidth="true" hidden="false" outlineLevel="0" max="6" min="5" style="0" width="20"/>
    <col collapsed="false" customWidth="true" hidden="false" outlineLevel="0" max="7" min="7" style="0" width="3"/>
  </cols>
  <sheetData>
    <row r="2" customFormat="false" ht="19.7" hidden="false" customHeight="false" outlineLevel="0" collapsed="false">
      <c r="B2" s="1" t="s">
        <v>38</v>
      </c>
      <c r="C2" s="1"/>
      <c r="D2" s="1"/>
      <c r="E2" s="1"/>
      <c r="F2" s="1"/>
    </row>
    <row r="3" customFormat="false" ht="15" hidden="false" customHeight="false" outlineLevel="0" collapsed="false">
      <c r="B3" s="2" t="s">
        <v>39</v>
      </c>
      <c r="C3" s="2"/>
      <c r="D3" s="2"/>
      <c r="E3" s="2"/>
      <c r="F3" s="2"/>
    </row>
    <row r="5" customFormat="false" ht="15" hidden="false" customHeight="false" outlineLevel="0" collapsed="false">
      <c r="B5" s="3" t="s">
        <v>40</v>
      </c>
      <c r="C5" s="4"/>
      <c r="D5" s="4"/>
      <c r="E5" s="4"/>
      <c r="F5" s="4"/>
    </row>
    <row r="6" customFormat="false" ht="15" hidden="false" customHeight="false" outlineLevel="0" collapsed="false">
      <c r="B6" s="5" t="s">
        <v>41</v>
      </c>
      <c r="C6" s="24" t="n">
        <v>5900</v>
      </c>
    </row>
    <row r="7" customFormat="false" ht="15" hidden="false" customHeight="false" outlineLevel="0" collapsed="false">
      <c r="B7" s="5" t="s">
        <v>42</v>
      </c>
      <c r="C7" s="25" t="n">
        <v>5</v>
      </c>
    </row>
    <row r="9" customFormat="false" ht="15" hidden="false" customHeight="false" outlineLevel="0" collapsed="false">
      <c r="B9" s="26" t="s">
        <v>43</v>
      </c>
    </row>
    <row r="10" customFormat="false" ht="15" hidden="false" customHeight="false" outlineLevel="0" collapsed="false">
      <c r="B10" s="5" t="s">
        <v>44</v>
      </c>
      <c r="C10" s="27" t="n">
        <v>5820</v>
      </c>
    </row>
    <row r="11" customFormat="false" ht="15" hidden="false" customHeight="false" outlineLevel="0" collapsed="false">
      <c r="B11" s="5" t="s">
        <v>45</v>
      </c>
      <c r="C11" s="27" t="n">
        <v>5800</v>
      </c>
    </row>
    <row r="12" customFormat="false" ht="15" hidden="false" customHeight="false" outlineLevel="0" collapsed="false">
      <c r="B12" s="5" t="s">
        <v>46</v>
      </c>
      <c r="C12" s="9" t="n">
        <v>0.65</v>
      </c>
    </row>
    <row r="14" customFormat="false" ht="15" hidden="false" customHeight="false" outlineLevel="0" collapsed="false">
      <c r="B14" s="26" t="s">
        <v>47</v>
      </c>
    </row>
    <row r="15" customFormat="false" ht="15" hidden="false" customHeight="false" outlineLevel="0" collapsed="false">
      <c r="B15" s="5" t="s">
        <v>48</v>
      </c>
      <c r="C15" s="27" t="n">
        <v>5970</v>
      </c>
    </row>
    <row r="16" customFormat="false" ht="15" hidden="false" customHeight="false" outlineLevel="0" collapsed="false">
      <c r="B16" s="5" t="s">
        <v>49</v>
      </c>
      <c r="C16" s="27" t="n">
        <v>5990</v>
      </c>
    </row>
    <row r="17" customFormat="false" ht="15" hidden="false" customHeight="false" outlineLevel="0" collapsed="false">
      <c r="B17" s="5" t="s">
        <v>50</v>
      </c>
      <c r="C17" s="9" t="n">
        <v>0.5</v>
      </c>
    </row>
    <row r="20" customFormat="false" ht="15" hidden="false" customHeight="false" outlineLevel="0" collapsed="false">
      <c r="B20" s="3" t="s">
        <v>51</v>
      </c>
      <c r="C20" s="4"/>
      <c r="D20" s="4"/>
      <c r="E20" s="4"/>
      <c r="F20" s="4"/>
    </row>
    <row r="21" customFormat="false" ht="15" hidden="false" customHeight="false" outlineLevel="0" collapsed="false">
      <c r="B21" s="5" t="s">
        <v>52</v>
      </c>
      <c r="C21" s="15" t="n">
        <f aca="false">(C10-C11)*100</f>
        <v>2000</v>
      </c>
    </row>
    <row r="22" customFormat="false" ht="15" hidden="false" customHeight="false" outlineLevel="0" collapsed="false">
      <c r="B22" s="5" t="s">
        <v>53</v>
      </c>
      <c r="C22" s="15" t="n">
        <f aca="false">(C16-C15)*100</f>
        <v>2000</v>
      </c>
    </row>
    <row r="23" customFormat="false" ht="15" hidden="false" customHeight="false" outlineLevel="0" collapsed="false">
      <c r="B23" s="5" t="s">
        <v>54</v>
      </c>
      <c r="C23" s="22" t="n">
        <f aca="false">(C12+C17)*100</f>
        <v>115</v>
      </c>
    </row>
    <row r="24" customFormat="false" ht="15" hidden="false" customHeight="false" outlineLevel="0" collapsed="false">
      <c r="B24" s="5" t="s">
        <v>55</v>
      </c>
      <c r="C24" s="21" t="n">
        <f aca="false">C21-(C12*100)</f>
        <v>1935</v>
      </c>
    </row>
    <row r="25" customFormat="false" ht="15" hidden="false" customHeight="false" outlineLevel="0" collapsed="false">
      <c r="B25" s="5" t="s">
        <v>56</v>
      </c>
      <c r="C25" s="21" t="n">
        <f aca="false">C22-(C17*100)</f>
        <v>1950</v>
      </c>
    </row>
    <row r="26" customFormat="false" ht="15" hidden="false" customHeight="false" outlineLevel="0" collapsed="false">
      <c r="B26" s="5" t="s">
        <v>57</v>
      </c>
      <c r="C26" s="21" t="n">
        <f aca="false">MAX(C24,C25)</f>
        <v>1950</v>
      </c>
    </row>
    <row r="28" customFormat="false" ht="15" hidden="false" customHeight="false" outlineLevel="0" collapsed="false">
      <c r="B28" s="5" t="s">
        <v>58</v>
      </c>
      <c r="C28" s="22" t="n">
        <f aca="false">C23*C7</f>
        <v>575</v>
      </c>
    </row>
    <row r="29" customFormat="false" ht="15" hidden="false" customHeight="false" outlineLevel="0" collapsed="false">
      <c r="B29" s="5" t="s">
        <v>59</v>
      </c>
      <c r="C29" s="22" t="n">
        <f aca="false">C26*C7</f>
        <v>9750</v>
      </c>
    </row>
    <row r="30" customFormat="false" ht="15" hidden="false" customHeight="false" outlineLevel="0" collapsed="false">
      <c r="B30" s="5" t="s">
        <v>60</v>
      </c>
      <c r="C30" s="12" t="n">
        <f aca="false">C29/C28</f>
        <v>16.9565217391304</v>
      </c>
    </row>
    <row r="31" customFormat="false" ht="15" hidden="false" customHeight="false" outlineLevel="0" collapsed="false">
      <c r="B31" s="5" t="s">
        <v>61</v>
      </c>
      <c r="C31" s="28" t="n">
        <f aca="false">C10-(C12+C17)</f>
        <v>5818.85</v>
      </c>
    </row>
    <row r="32" customFormat="false" ht="15" hidden="false" customHeight="false" outlineLevel="0" collapsed="false">
      <c r="B32" s="5" t="s">
        <v>62</v>
      </c>
      <c r="C32" s="28" t="n">
        <f aca="false">C15+(C12+C17)</f>
        <v>5971.15</v>
      </c>
    </row>
    <row r="34" customFormat="false" ht="15" hidden="false" customHeight="false" outlineLevel="0" collapsed="false">
      <c r="B34" s="5" t="s">
        <v>63</v>
      </c>
      <c r="C34" s="29" t="n">
        <f aca="false">C6-C10</f>
        <v>80</v>
      </c>
    </row>
    <row r="35" customFormat="false" ht="15" hidden="false" customHeight="false" outlineLevel="0" collapsed="false">
      <c r="B35" s="5" t="s">
        <v>64</v>
      </c>
      <c r="C35" s="29" t="n">
        <f aca="false">C15-C6</f>
        <v>70</v>
      </c>
    </row>
    <row r="36" customFormat="false" ht="15" hidden="false" customHeight="false" outlineLevel="0" collapsed="false">
      <c r="B36" s="5" t="s">
        <v>65</v>
      </c>
      <c r="C36" s="14" t="n">
        <f aca="false">C34/C6</f>
        <v>0.0135593220338983</v>
      </c>
    </row>
    <row r="37" customFormat="false" ht="15" hidden="false" customHeight="false" outlineLevel="0" collapsed="false">
      <c r="B37" s="5" t="s">
        <v>66</v>
      </c>
      <c r="C37" s="14" t="n">
        <f aca="false">C35/C6</f>
        <v>0.011864406779661</v>
      </c>
    </row>
    <row r="39" customFormat="false" ht="17.35" hidden="false" customHeight="false" outlineLevel="0" collapsed="false">
      <c r="B39" s="18" t="s">
        <v>67</v>
      </c>
      <c r="C39" s="18"/>
      <c r="D39" s="30" t="n">
        <f aca="false">C28</f>
        <v>575</v>
      </c>
    </row>
    <row r="40" customFormat="false" ht="17.35" hidden="false" customHeight="false" outlineLevel="0" collapsed="false">
      <c r="B40" s="31" t="s">
        <v>68</v>
      </c>
      <c r="C40" s="31"/>
      <c r="D40" s="32" t="n">
        <f aca="false">C29</f>
        <v>9750</v>
      </c>
    </row>
    <row r="42" customFormat="false" ht="15" hidden="false" customHeight="false" outlineLevel="0" collapsed="false">
      <c r="B42" s="23" t="s">
        <v>33</v>
      </c>
    </row>
    <row r="43" customFormat="false" ht="15" hidden="false" customHeight="false" outlineLevel="0" collapsed="false">
      <c r="B43" s="7" t="s">
        <v>69</v>
      </c>
    </row>
    <row r="44" customFormat="false" ht="15" hidden="false" customHeight="false" outlineLevel="0" collapsed="false">
      <c r="B44" s="7" t="s">
        <v>70</v>
      </c>
    </row>
    <row r="45" customFormat="false" ht="15" hidden="false" customHeight="false" outlineLevel="0" collapsed="false">
      <c r="B45" s="7" t="s">
        <v>71</v>
      </c>
    </row>
  </sheetData>
  <mergeCells count="4">
    <mergeCell ref="B2:F2"/>
    <mergeCell ref="B3:F3"/>
    <mergeCell ref="B39:C39"/>
    <mergeCell ref="B40:C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AF37"/>
    <pageSetUpPr fitToPage="false"/>
  </sheetPr>
  <dimension ref="A2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8" min="3" style="0" width="16"/>
    <col collapsed="false" customWidth="true" hidden="false" outlineLevel="0" max="9" min="9" style="0" width="3"/>
  </cols>
  <sheetData>
    <row r="2" customFormat="false" ht="19.7" hidden="false" customHeight="false" outlineLevel="0" collapsed="false">
      <c r="B2" s="1" t="s">
        <v>72</v>
      </c>
      <c r="C2" s="1"/>
      <c r="D2" s="1"/>
      <c r="E2" s="1"/>
      <c r="F2" s="1"/>
      <c r="G2" s="1"/>
      <c r="H2" s="1"/>
    </row>
    <row r="3" customFormat="false" ht="15" hidden="false" customHeight="false" outlineLevel="0" collapsed="false">
      <c r="B3" s="2" t="s">
        <v>73</v>
      </c>
      <c r="C3" s="2"/>
      <c r="D3" s="2"/>
      <c r="E3" s="2"/>
      <c r="F3" s="2"/>
      <c r="G3" s="2"/>
      <c r="H3" s="2"/>
    </row>
    <row r="5" customFormat="false" ht="15" hidden="false" customHeight="false" outlineLevel="0" collapsed="false">
      <c r="B5" s="11" t="s">
        <v>74</v>
      </c>
      <c r="C5" s="6" t="n">
        <v>500000</v>
      </c>
    </row>
    <row r="7" customFormat="false" ht="15" hidden="false" customHeight="false" outlineLevel="0" collapsed="false">
      <c r="A7" s="33"/>
      <c r="B7" s="33" t="s">
        <v>75</v>
      </c>
      <c r="C7" s="33" t="s">
        <v>76</v>
      </c>
      <c r="D7" s="33" t="s">
        <v>77</v>
      </c>
      <c r="E7" s="33" t="s">
        <v>78</v>
      </c>
      <c r="F7" s="33" t="s">
        <v>79</v>
      </c>
      <c r="G7" s="33" t="s">
        <v>80</v>
      </c>
      <c r="H7" s="33" t="s">
        <v>81</v>
      </c>
    </row>
    <row r="8" customFormat="false" ht="15" hidden="false" customHeight="false" outlineLevel="0" collapsed="false">
      <c r="B8" s="11" t="s">
        <v>82</v>
      </c>
      <c r="C8" s="8" t="n">
        <v>0.4</v>
      </c>
      <c r="D8" s="8" t="n">
        <v>0.03</v>
      </c>
      <c r="E8" s="8" t="n">
        <v>0.82</v>
      </c>
      <c r="F8" s="6" t="n">
        <v>85</v>
      </c>
      <c r="G8" s="6" t="n">
        <v>350</v>
      </c>
      <c r="H8" s="17" t="n">
        <f aca="false">FLOOR(($C$5*C8*(E8-(1-E8)/(F8/G8))*0.25)/G8,1)</f>
        <v>11</v>
      </c>
    </row>
    <row r="9" customFormat="false" ht="15" hidden="false" customHeight="false" outlineLevel="0" collapsed="false">
      <c r="B9" s="11" t="s">
        <v>83</v>
      </c>
      <c r="C9" s="8" t="n">
        <v>0.2</v>
      </c>
      <c r="D9" s="8" t="n">
        <v>0.04</v>
      </c>
      <c r="E9" s="8" t="n">
        <v>0.72</v>
      </c>
      <c r="F9" s="6" t="n">
        <v>120</v>
      </c>
      <c r="G9" s="6" t="n">
        <v>500</v>
      </c>
      <c r="H9" s="17" t="n">
        <f aca="false">FLOOR(($C$5*C9*(E9-(1-E9)/(F9/G9))*0.25)/G9,1)</f>
        <v>-23</v>
      </c>
    </row>
    <row r="10" customFormat="false" ht="15" hidden="false" customHeight="false" outlineLevel="0" collapsed="false">
      <c r="B10" s="11" t="s">
        <v>84</v>
      </c>
      <c r="C10" s="8" t="n">
        <v>0.1</v>
      </c>
      <c r="D10" s="8" t="n">
        <v>0.01</v>
      </c>
      <c r="E10" s="8" t="n">
        <v>0.15</v>
      </c>
      <c r="F10" s="6" t="n">
        <v>2000</v>
      </c>
      <c r="G10" s="6" t="n">
        <v>45</v>
      </c>
      <c r="H10" s="17" t="n">
        <f aca="false">FLOOR(($C$5*C10*(E10-(1-E10)/(F10/G10))*0.25)/G10,1)</f>
        <v>36</v>
      </c>
    </row>
    <row r="11" customFormat="false" ht="15" hidden="false" customHeight="false" outlineLevel="0" collapsed="false">
      <c r="B11" s="11" t="s">
        <v>85</v>
      </c>
      <c r="C11" s="8" t="n">
        <v>0.15</v>
      </c>
      <c r="D11" s="8" t="n">
        <v>0.025</v>
      </c>
      <c r="E11" s="8" t="n">
        <v>0.78</v>
      </c>
      <c r="F11" s="6" t="n">
        <v>95</v>
      </c>
      <c r="G11" s="6" t="n">
        <v>380</v>
      </c>
      <c r="H11" s="17" t="n">
        <f aca="false">FLOOR(($C$5*C11*(E11-(1-E11)/(F11/G11))*0.25)/G11,1)</f>
        <v>-5</v>
      </c>
    </row>
    <row r="12" customFormat="false" ht="15" hidden="false" customHeight="false" outlineLevel="0" collapsed="false">
      <c r="B12" s="11" t="s">
        <v>86</v>
      </c>
      <c r="C12" s="8" t="n">
        <v>0.15</v>
      </c>
      <c r="D12" s="8" t="n">
        <v>0.03</v>
      </c>
      <c r="E12" s="8" t="n">
        <v>0.75</v>
      </c>
      <c r="F12" s="6" t="n">
        <v>110</v>
      </c>
      <c r="G12" s="6" t="n">
        <v>420</v>
      </c>
      <c r="H12" s="17" t="n">
        <f aca="false">FLOOR(($C$5*C12*(E12-(1-E12)/(F12/G12))*0.25)/G12,1)</f>
        <v>-10</v>
      </c>
    </row>
    <row r="13" customFormat="false" ht="15" hidden="false" customHeight="false" outlineLevel="0" collapsed="false">
      <c r="B13" s="34" t="s">
        <v>87</v>
      </c>
      <c r="C13" s="14" t="n">
        <f aca="false">SUM(C8:C12)</f>
        <v>1</v>
      </c>
    </row>
    <row r="15" customFormat="false" ht="15" hidden="false" customHeight="false" outlineLevel="0" collapsed="false">
      <c r="B15" s="3" t="s">
        <v>88</v>
      </c>
      <c r="C15" s="4"/>
      <c r="D15" s="4"/>
      <c r="E15" s="4"/>
      <c r="F15" s="4"/>
      <c r="G15" s="4"/>
      <c r="H15" s="4"/>
    </row>
    <row r="16" customFormat="false" ht="15" hidden="false" customHeight="false" outlineLevel="0" collapsed="false">
      <c r="B16" s="11" t="s">
        <v>89</v>
      </c>
      <c r="C16" s="35" t="n">
        <f aca="false">SUMPRODUCT(C8:C12,D8:D12)</f>
        <v>0.02925</v>
      </c>
    </row>
    <row r="17" customFormat="false" ht="15" hidden="false" customHeight="false" outlineLevel="0" collapsed="false">
      <c r="B17" s="11" t="s">
        <v>90</v>
      </c>
      <c r="C17" s="16" t="n">
        <f aca="false">C16*$C$5</f>
        <v>14625</v>
      </c>
    </row>
    <row r="18" customFormat="false" ht="15" hidden="false" customHeight="false" outlineLevel="0" collapsed="false">
      <c r="B18" s="11" t="s">
        <v>91</v>
      </c>
      <c r="C18" s="36" t="str">
        <f aca="false">IF(C13=1,"✓ Balanced",IF(C13&gt;1,"⚠ Over-allocated","⚠ Under-allocated"))</f>
        <v>✓ Balanced</v>
      </c>
    </row>
    <row r="20" customFormat="false" ht="15" hidden="false" customHeight="false" outlineLevel="0" collapsed="false">
      <c r="B20" s="23" t="s">
        <v>33</v>
      </c>
    </row>
    <row r="21" customFormat="false" ht="15" hidden="false" customHeight="false" outlineLevel="0" collapsed="false">
      <c r="B21" s="7" t="s">
        <v>92</v>
      </c>
    </row>
    <row r="22" customFormat="false" ht="15" hidden="false" customHeight="false" outlineLevel="0" collapsed="false">
      <c r="B22" s="7" t="s">
        <v>93</v>
      </c>
    </row>
    <row r="23" customFormat="false" ht="15" hidden="false" customHeight="false" outlineLevel="0" collapsed="false">
      <c r="B23" s="7" t="s">
        <v>94</v>
      </c>
    </row>
  </sheetData>
  <mergeCells count="2">
    <mergeCell ref="B2:H2"/>
    <mergeCell ref="B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AF37"/>
    <pageSetUpPr fitToPage="false"/>
  </sheetPr>
  <dimension ref="B2:G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7" min="3" style="0" width="16"/>
    <col collapsed="false" customWidth="true" hidden="false" outlineLevel="0" max="8" min="8" style="0" width="3"/>
  </cols>
  <sheetData>
    <row r="2" customFormat="false" ht="19.7" hidden="false" customHeight="false" outlineLevel="0" collapsed="false">
      <c r="B2" s="1" t="s">
        <v>95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2" t="s">
        <v>96</v>
      </c>
      <c r="C3" s="2"/>
      <c r="D3" s="2"/>
      <c r="E3" s="2"/>
      <c r="F3" s="2"/>
      <c r="G3" s="2"/>
    </row>
    <row r="5" customFormat="false" ht="15" hidden="false" customHeight="false" outlineLevel="0" collapsed="false">
      <c r="B5" s="20" t="s">
        <v>97</v>
      </c>
      <c r="C5" s="6" t="n">
        <v>100000</v>
      </c>
      <c r="D5" s="20" t="s">
        <v>79</v>
      </c>
      <c r="E5" s="6" t="n">
        <v>85</v>
      </c>
      <c r="F5" s="20" t="s">
        <v>13</v>
      </c>
      <c r="G5" s="10" t="n">
        <v>0.25</v>
      </c>
    </row>
    <row r="7" customFormat="false" ht="15" hidden="false" customHeight="false" outlineLevel="0" collapsed="false">
      <c r="B7" s="33" t="s">
        <v>98</v>
      </c>
      <c r="C7" s="37" t="n">
        <v>200</v>
      </c>
      <c r="D7" s="37" t="n">
        <v>300</v>
      </c>
      <c r="E7" s="37" t="n">
        <v>400</v>
      </c>
      <c r="F7" s="37" t="n">
        <v>500</v>
      </c>
      <c r="G7" s="37" t="n">
        <v>600</v>
      </c>
    </row>
    <row r="8" customFormat="false" ht="15" hidden="false" customHeight="false" outlineLevel="0" collapsed="false">
      <c r="B8" s="38" t="n">
        <v>0.7</v>
      </c>
      <c r="C8" s="17" t="n">
        <f aca="false">MAX(FLOOR($C$5*$G$5*($B8-(1-$B8)/($E$5/C$7))/C$7,1),0)</f>
        <v>0</v>
      </c>
      <c r="D8" s="17" t="n">
        <f aca="false">MAX(FLOOR($C$5*$G$5*($B8-(1-$B8)/($E$5/D$7))/D$7,1),0)</f>
        <v>0</v>
      </c>
      <c r="E8" s="17" t="n">
        <f aca="false">MAX(FLOOR($C$5*$G$5*($B8-(1-$B8)/($E$5/E$7))/E$7,1),0)</f>
        <v>0</v>
      </c>
      <c r="F8" s="17" t="n">
        <f aca="false">MAX(FLOOR($C$5*$G$5*($B8-(1-$B8)/($E$5/F$7))/F$7,1),0)</f>
        <v>0</v>
      </c>
      <c r="G8" s="17" t="n">
        <f aca="false">MAX(FLOOR($C$5*$G$5*($B8-(1-$B8)/($E$5/G$7))/G$7,1),0)</f>
        <v>0</v>
      </c>
    </row>
    <row r="9" customFormat="false" ht="15" hidden="false" customHeight="false" outlineLevel="0" collapsed="false">
      <c r="B9" s="38" t="n">
        <v>0.75</v>
      </c>
      <c r="C9" s="17" t="n">
        <f aca="false">MAX(FLOOR($C$5*$G$5*($B9-(1-$B9)/($E$5/C$7))/C$7,1),0)</f>
        <v>20</v>
      </c>
      <c r="D9" s="17" t="n">
        <f aca="false">MAX(FLOOR($C$5*$G$5*($B9-(1-$B9)/($E$5/D$7))/D$7,1),0)</f>
        <v>0</v>
      </c>
      <c r="E9" s="17" t="n">
        <f aca="false">MAX(FLOOR($C$5*$G$5*($B9-(1-$B9)/($E$5/E$7))/E$7,1),0)</f>
        <v>0</v>
      </c>
      <c r="F9" s="17" t="n">
        <f aca="false">MAX(FLOOR($C$5*$G$5*($B9-(1-$B9)/($E$5/F$7))/F$7,1),0)</f>
        <v>0</v>
      </c>
      <c r="G9" s="17" t="n">
        <f aca="false">MAX(FLOOR($C$5*$G$5*($B9-(1-$B9)/($E$5/G$7))/G$7,1),0)</f>
        <v>0</v>
      </c>
    </row>
    <row r="10" customFormat="false" ht="15" hidden="false" customHeight="false" outlineLevel="0" collapsed="false">
      <c r="B10" s="38" t="n">
        <v>0.8</v>
      </c>
      <c r="C10" s="17" t="n">
        <f aca="false">MAX(FLOOR($C$5*$G$5*($B10-(1-$B10)/($E$5/C$7))/C$7,1),0)</f>
        <v>41</v>
      </c>
      <c r="D10" s="17" t="n">
        <f aca="false">MAX(FLOOR($C$5*$G$5*($B10-(1-$B10)/($E$5/D$7))/D$7,1),0)</f>
        <v>7</v>
      </c>
      <c r="E10" s="17" t="n">
        <f aca="false">MAX(FLOOR($C$5*$G$5*($B10-(1-$B10)/($E$5/E$7))/E$7,1),0)</f>
        <v>0</v>
      </c>
      <c r="F10" s="17" t="n">
        <f aca="false">MAX(FLOOR($C$5*$G$5*($B10-(1-$B10)/($E$5/F$7))/F$7,1),0)</f>
        <v>0</v>
      </c>
      <c r="G10" s="17" t="n">
        <f aca="false">MAX(FLOOR($C$5*$G$5*($B10-(1-$B10)/($E$5/G$7))/G$7,1),0)</f>
        <v>0</v>
      </c>
    </row>
    <row r="11" customFormat="false" ht="15" hidden="false" customHeight="false" outlineLevel="0" collapsed="false">
      <c r="B11" s="38" t="n">
        <v>0.82</v>
      </c>
      <c r="C11" s="17" t="n">
        <f aca="false">MAX(FLOOR($C$5*$G$5*($B11-(1-$B11)/($E$5/C$7))/C$7,1),0)</f>
        <v>49</v>
      </c>
      <c r="D11" s="17" t="n">
        <f aca="false">MAX(FLOOR($C$5*$G$5*($B11-(1-$B11)/($E$5/D$7))/D$7,1),0)</f>
        <v>15</v>
      </c>
      <c r="E11" s="17" t="n">
        <f aca="false">MAX(FLOOR($C$5*$G$5*($B11-(1-$B11)/($E$5/E$7))/E$7,1),0)</f>
        <v>0</v>
      </c>
      <c r="F11" s="17" t="n">
        <f aca="false">MAX(FLOOR($C$5*$G$5*($B11-(1-$B11)/($E$5/F$7))/F$7,1),0)</f>
        <v>0</v>
      </c>
      <c r="G11" s="17" t="n">
        <f aca="false">MAX(FLOOR($C$5*$G$5*($B11-(1-$B11)/($E$5/G$7))/G$7,1),0)</f>
        <v>0</v>
      </c>
    </row>
    <row r="12" customFormat="false" ht="15" hidden="false" customHeight="false" outlineLevel="0" collapsed="false">
      <c r="B12" s="38" t="n">
        <v>0.85</v>
      </c>
      <c r="C12" s="17" t="n">
        <f aca="false">MAX(FLOOR($C$5*$G$5*($B12-(1-$B12)/($E$5/C$7))/C$7,1),0)</f>
        <v>62</v>
      </c>
      <c r="D12" s="17" t="n">
        <f aca="false">MAX(FLOOR($C$5*$G$5*($B12-(1-$B12)/($E$5/D$7))/D$7,1),0)</f>
        <v>26</v>
      </c>
      <c r="E12" s="17" t="n">
        <f aca="false">MAX(FLOOR($C$5*$G$5*($B12-(1-$B12)/($E$5/E$7))/E$7,1),0)</f>
        <v>9</v>
      </c>
      <c r="F12" s="17" t="n">
        <f aca="false">MAX(FLOOR($C$5*$G$5*($B12-(1-$B12)/($E$5/F$7))/F$7,1),0)</f>
        <v>0</v>
      </c>
      <c r="G12" s="17" t="n">
        <f aca="false">MAX(FLOOR($C$5*$G$5*($B12-(1-$B12)/($E$5/G$7))/G$7,1),0)</f>
        <v>0</v>
      </c>
    </row>
    <row r="13" customFormat="false" ht="15" hidden="false" customHeight="false" outlineLevel="0" collapsed="false">
      <c r="B13" s="38" t="n">
        <v>0.88</v>
      </c>
      <c r="C13" s="17" t="n">
        <f aca="false">MAX(FLOOR($C$5*$G$5*($B13-(1-$B13)/($E$5/C$7))/C$7,1),0)</f>
        <v>74</v>
      </c>
      <c r="D13" s="17" t="n">
        <f aca="false">MAX(FLOOR($C$5*$G$5*($B13-(1-$B13)/($E$5/D$7))/D$7,1),0)</f>
        <v>38</v>
      </c>
      <c r="E13" s="17" t="n">
        <f aca="false">MAX(FLOOR($C$5*$G$5*($B13-(1-$B13)/($E$5/E$7))/E$7,1),0)</f>
        <v>19</v>
      </c>
      <c r="F13" s="17" t="n">
        <f aca="false">MAX(FLOOR($C$5*$G$5*($B13-(1-$B13)/($E$5/F$7))/F$7,1),0)</f>
        <v>8</v>
      </c>
      <c r="G13" s="17" t="n">
        <f aca="false">MAX(FLOOR($C$5*$G$5*($B13-(1-$B13)/($E$5/G$7))/G$7,1),0)</f>
        <v>1</v>
      </c>
    </row>
    <row r="14" customFormat="false" ht="15" hidden="false" customHeight="false" outlineLevel="0" collapsed="false">
      <c r="B14" s="38" t="n">
        <v>0.9</v>
      </c>
      <c r="C14" s="17" t="n">
        <f aca="false">MAX(FLOOR($C$5*$G$5*($B14-(1-$B14)/($E$5/C$7))/C$7,1),0)</f>
        <v>83</v>
      </c>
      <c r="D14" s="17" t="n">
        <f aca="false">MAX(FLOOR($C$5*$G$5*($B14-(1-$B14)/($E$5/D$7))/D$7,1),0)</f>
        <v>45</v>
      </c>
      <c r="E14" s="17" t="n">
        <f aca="false">MAX(FLOOR($C$5*$G$5*($B14-(1-$B14)/($E$5/E$7))/E$7,1),0)</f>
        <v>26</v>
      </c>
      <c r="F14" s="17" t="n">
        <f aca="false">MAX(FLOOR($C$5*$G$5*($B14-(1-$B14)/($E$5/F$7))/F$7,1),0)</f>
        <v>15</v>
      </c>
      <c r="G14" s="17" t="n">
        <f aca="false">MAX(FLOOR($C$5*$G$5*($B14-(1-$B14)/($E$5/G$7))/G$7,1),0)</f>
        <v>8</v>
      </c>
    </row>
    <row r="16" customFormat="false" ht="15" hidden="false" customHeight="false" outlineLevel="0" collapsed="false">
      <c r="B16" s="7" t="s">
        <v>99</v>
      </c>
    </row>
  </sheetData>
  <mergeCells count="2">
    <mergeCell ref="B2:G2"/>
    <mergeCell ref="B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2026-02-10T02:01:23Z</dcterms:created>
  <dc:creator>openpyxl</dc:creator>
  <dc:description/>
  <dc:language>en-US</dc:language>
  <cp:lastModifiedBy/>
  <dcterms:modified xsi:type="dcterms:W3CDTF">2026-02-10T02:01:23Z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